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20" yWindow="0" windowWidth="19740" windowHeight="18200" tabRatio="500" activeTab="1"/>
  </bookViews>
  <sheets>
    <sheet name="Cu TOOL" sheetId="1" r:id="rId1"/>
    <sheet name="Calculation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ARCHE</author>
    <author>Ilse</author>
  </authors>
  <commentList>
    <comment ref="E7" authorId="0">
      <text>
        <r>
          <rPr>
            <b/>
            <sz val="9"/>
            <rFont val="Arial"/>
            <family val="0"/>
          </rPr>
          <t>ARCHE:</t>
        </r>
        <r>
          <rPr>
            <sz val="9"/>
            <rFont val="Arial"/>
            <family val="0"/>
          </rPr>
          <t xml:space="preserve">
MEASE inhalation exposure estimate</t>
        </r>
      </text>
    </comment>
    <comment ref="B9" authorId="1">
      <text>
        <r>
          <rPr>
            <sz val="8"/>
            <rFont val="Tahoma"/>
            <family val="2"/>
          </rPr>
          <t>10 m³/shift</t>
        </r>
      </text>
    </comment>
    <comment ref="E54" authorId="0">
      <text>
        <r>
          <rPr>
            <b/>
            <sz val="9"/>
            <rFont val="Arial"/>
            <family val="0"/>
          </rPr>
          <t>ARCHE:</t>
        </r>
        <r>
          <rPr>
            <sz val="9"/>
            <rFont val="Arial"/>
            <family val="0"/>
          </rPr>
          <t xml:space="preserve">
MEASE dermal exposure estimate</t>
        </r>
      </text>
    </comment>
  </commentList>
</comments>
</file>

<file path=xl/sharedStrings.xml><?xml version="1.0" encoding="utf-8"?>
<sst xmlns="http://schemas.openxmlformats.org/spreadsheetml/2006/main" count="139" uniqueCount="94">
  <si>
    <t>Human health Tool for Copper</t>
  </si>
  <si>
    <t>Estimation of systemic internal human health exposure and risk at the workplace and combined exposure estimation (occupational, through food, drinking water and consumer products)</t>
  </si>
  <si>
    <t>typical amount inhaled/day</t>
  </si>
  <si>
    <t>mg</t>
  </si>
  <si>
    <t>ET amount/day (48%)</t>
  </si>
  <si>
    <t>TB amount/day (36%)</t>
  </si>
  <si>
    <t>R amount/day (16%)</t>
  </si>
  <si>
    <t>mass deposited in head (MPPD)</t>
  </si>
  <si>
    <t>mass deposited Tracheobronchial (MPPD)</t>
  </si>
  <si>
    <t>mass to GIT (head + TB)</t>
  </si>
  <si>
    <t>mass to deep lungs</t>
  </si>
  <si>
    <t>Occupational - dermal</t>
  </si>
  <si>
    <t>typical dermal loading</t>
  </si>
  <si>
    <t>Indirect expo(food, drinking water, air)</t>
  </si>
  <si>
    <t>typical intake/day</t>
  </si>
  <si>
    <t>Amount to deep lungs</t>
  </si>
  <si>
    <t>Amount to GIT</t>
  </si>
  <si>
    <t>Amount on skin</t>
  </si>
  <si>
    <t>oral absorption (%)</t>
  </si>
  <si>
    <t>oral absorption occup (%)</t>
  </si>
  <si>
    <t xml:space="preserve">   </t>
  </si>
  <si>
    <t xml:space="preserve">  </t>
  </si>
  <si>
    <t>Extra-thoracic amount inhaled per day (%)</t>
  </si>
  <si>
    <t>Risk characterisation ratio</t>
  </si>
  <si>
    <t>RCR&lt;1; Safe use can be demonstrated.</t>
  </si>
  <si>
    <t>RCR&gt;1; There is a risk determined, extra risk management measures should be implemented!</t>
  </si>
  <si>
    <t xml:space="preserve">   </t>
  </si>
  <si>
    <t>Powder</t>
  </si>
  <si>
    <t>massive</t>
  </si>
  <si>
    <t>Default</t>
  </si>
  <si>
    <t>Concentration of Cu inhaled</t>
  </si>
  <si>
    <t>Sum should be 100%</t>
  </si>
  <si>
    <t>Total absorbed amount (occupational, consumer and indirect exposure)</t>
  </si>
  <si>
    <t>Fill in 'Concentration of Cu inhaled'. If zero, fill in 10E-5</t>
  </si>
  <si>
    <t>Massive</t>
  </si>
  <si>
    <t>Annual average total absorbed amount from occupational exposure</t>
  </si>
  <si>
    <t>Respirable amount inhaled per day (%)</t>
  </si>
  <si>
    <t>Trancho-bronchial amount inhaled per day (%)</t>
  </si>
  <si>
    <t>vak: powder of massive</t>
  </si>
  <si>
    <t>Annual avg total absorbed amount from occupational exposure</t>
  </si>
  <si>
    <t>powder</t>
  </si>
  <si>
    <t>Physical form of Cu</t>
  </si>
  <si>
    <t>mass deposited Pulmonary (MPPD)</t>
  </si>
  <si>
    <t>mg/kgbw/day</t>
  </si>
  <si>
    <t>%</t>
  </si>
  <si>
    <t>%</t>
  </si>
  <si>
    <t>%</t>
  </si>
  <si>
    <t>Total absorbed amount (occupationale+consumer+indirect exposure)</t>
  </si>
  <si>
    <t xml:space="preserve">   </t>
  </si>
  <si>
    <t>Dermal loading of Cu</t>
  </si>
  <si>
    <t>Amount absorbed from inhaled amount</t>
  </si>
  <si>
    <t>mass absorbed in lungs (100%)</t>
  </si>
  <si>
    <t>mass absorbed in gut</t>
  </si>
  <si>
    <t>Mass absorbed from inhaled</t>
  </si>
  <si>
    <t>mg/kgBW/day corrected</t>
  </si>
  <si>
    <t>dermal loading</t>
  </si>
  <si>
    <t>dermal amount absorbed</t>
  </si>
  <si>
    <t>Occupational - inhalation+dermal</t>
  </si>
  <si>
    <t>mg/kg/day</t>
  </si>
  <si>
    <t>MOS workplace</t>
  </si>
  <si>
    <t>RCR</t>
  </si>
  <si>
    <t>Consumer exposure + Indirect exposure of man through the environment</t>
  </si>
  <si>
    <t>daily intake (food + drinking water)</t>
  </si>
  <si>
    <t>daily intake (inhalation)</t>
  </si>
  <si>
    <t>consumer exposure - cigarettes</t>
  </si>
  <si>
    <t xml:space="preserve">   </t>
  </si>
  <si>
    <t>Sum (%)</t>
  </si>
  <si>
    <t xml:space="preserve">    </t>
  </si>
  <si>
    <t>TOTAL ABSORBED AMOUNT (occupational, consumer and indirect exposure)</t>
  </si>
  <si>
    <t>OCCUPATIONAL (inhalation and dermal exposure)</t>
  </si>
  <si>
    <t>consumer exposure - handling of coins</t>
  </si>
  <si>
    <t>Total absorbed amount (occupationale+consumer+indirect exposure)</t>
  </si>
  <si>
    <t>Env+Cons oral absorbed</t>
  </si>
  <si>
    <t>Env+Cons inhalation absorbed (100%)</t>
  </si>
  <si>
    <t>Env+Cons dermal absorbed (0.3%)</t>
  </si>
  <si>
    <t>Env+Cons Total abs</t>
  </si>
  <si>
    <t>Occup oral abs</t>
  </si>
  <si>
    <t>Occup dermal abs</t>
  </si>
  <si>
    <t>Occup inhal abs</t>
  </si>
  <si>
    <t>Occup Total abs</t>
  </si>
  <si>
    <t>Cu-POWDERS - exposure at the workplace and through food, drinking water, consumer products</t>
  </si>
  <si>
    <t>RWC</t>
  </si>
  <si>
    <t>inhalation</t>
  </si>
  <si>
    <t>dermal</t>
  </si>
  <si>
    <t>oral</t>
  </si>
  <si>
    <t>professional use</t>
  </si>
  <si>
    <t>Occupational</t>
  </si>
  <si>
    <t>Occupational - inhalation</t>
  </si>
  <si>
    <t>mg/m³</t>
  </si>
  <si>
    <t>concentration inhaled</t>
  </si>
  <si>
    <t>mg/day</t>
  </si>
  <si>
    <t>Powder</t>
  </si>
  <si>
    <t>MASSIVE</t>
  </si>
  <si>
    <t>POWDER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</si>
</sst>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"/>
      <name val="Tahoma"/>
      <family val="2"/>
    </font>
    <font>
      <b/>
      <sz val="10"/>
      <color indexed="10"/>
      <name val="Verdana"/>
      <family val="0"/>
    </font>
    <font>
      <sz val="10"/>
      <color indexed="9"/>
      <name val="Verdana"/>
      <family val="0"/>
    </font>
    <font>
      <b/>
      <sz val="12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8" fillId="37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9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10" fillId="0" borderId="0" xfId="0" applyNumberFormat="1" applyFont="1" applyFill="1" applyAlignment="1">
      <alignment horizontal="center"/>
    </xf>
    <xf numFmtId="2" fontId="8" fillId="36" borderId="0" xfId="0" applyNumberFormat="1" applyFont="1" applyFill="1" applyAlignment="1">
      <alignment horizontal="center"/>
    </xf>
    <xf numFmtId="172" fontId="8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72" fontId="8" fillId="36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8" fillId="34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8" fillId="35" borderId="0" xfId="0" applyNumberFormat="1" applyFont="1" applyFill="1" applyAlignment="1">
      <alignment horizontal="center"/>
    </xf>
    <xf numFmtId="174" fontId="8" fillId="35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0" fontId="12" fillId="0" borderId="11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0" xfId="0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9" borderId="15" xfId="0" applyFill="1" applyBorder="1" applyAlignment="1">
      <alignment/>
    </xf>
    <xf numFmtId="1" fontId="8" fillId="39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8" fillId="38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0" borderId="0" xfId="0" applyFont="1" applyFill="1" applyAlignment="1">
      <alignment/>
    </xf>
    <xf numFmtId="2" fontId="8" fillId="36" borderId="0" xfId="0" applyNumberFormat="1" applyFont="1" applyFill="1" applyAlignment="1">
      <alignment/>
    </xf>
    <xf numFmtId="174" fontId="8" fillId="35" borderId="0" xfId="0" applyNumberFormat="1" applyFont="1" applyFill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8" fillId="36" borderId="0" xfId="0" applyNumberFormat="1" applyFont="1" applyFill="1" applyAlignment="1">
      <alignment/>
    </xf>
    <xf numFmtId="172" fontId="8" fillId="35" borderId="0" xfId="0" applyNumberFormat="1" applyFont="1" applyFill="1" applyAlignment="1">
      <alignment/>
    </xf>
    <xf numFmtId="172" fontId="8" fillId="34" borderId="0" xfId="0" applyNumberFormat="1" applyFont="1" applyFill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12" fillId="0" borderId="12" xfId="0" applyNumberFormat="1" applyFont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0" fillId="0" borderId="17" xfId="0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4" fontId="8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9" fillId="37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/>
    </xf>
    <xf numFmtId="174" fontId="8" fillId="37" borderId="0" xfId="0" applyNumberFormat="1" applyFon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 vertical="center"/>
    </xf>
    <xf numFmtId="172" fontId="0" fillId="35" borderId="0" xfId="0" applyNumberFormat="1" applyFill="1" applyBorder="1" applyAlignment="1">
      <alignment horizontal="center" vertical="center"/>
    </xf>
    <xf numFmtId="172" fontId="0" fillId="35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 applyProtection="1">
      <alignment/>
      <protection hidden="1" locked="0"/>
    </xf>
    <xf numFmtId="172" fontId="0" fillId="35" borderId="0" xfId="0" applyNumberFormat="1" applyFont="1" applyFill="1" applyBorder="1" applyAlignment="1" applyProtection="1">
      <alignment horizontal="center"/>
      <protection hidden="1" locked="0"/>
    </xf>
    <xf numFmtId="0" fontId="0" fillId="35" borderId="0" xfId="0" applyFill="1" applyBorder="1" applyAlignment="1" applyProtection="1">
      <alignment/>
      <protection hidden="1" locked="0"/>
    </xf>
    <xf numFmtId="174" fontId="0" fillId="35" borderId="20" xfId="0" applyNumberFormat="1" applyFill="1" applyBorder="1" applyAlignment="1" applyProtection="1">
      <alignment horizontal="center" vertical="center"/>
      <protection hidden="1" locked="0"/>
    </xf>
    <xf numFmtId="2" fontId="0" fillId="35" borderId="20" xfId="0" applyNumberFormat="1" applyFill="1" applyBorder="1" applyAlignment="1">
      <alignment horizontal="center" vertical="center" wrapText="1"/>
    </xf>
    <xf numFmtId="0" fontId="20" fillId="41" borderId="10" xfId="0" applyFont="1" applyFill="1" applyBorder="1" applyAlignment="1" applyProtection="1">
      <alignment horizontal="center"/>
      <protection locked="0"/>
    </xf>
    <xf numFmtId="0" fontId="20" fillId="41" borderId="21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/>
    </xf>
    <xf numFmtId="11" fontId="20" fillId="41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2" xfId="0" applyFill="1" applyBorder="1" applyAlignment="1" applyProtection="1">
      <alignment horizontal="center" vertical="center" wrapText="1"/>
      <protection hidden="1" locked="0"/>
    </xf>
    <xf numFmtId="0" fontId="0" fillId="35" borderId="23" xfId="0" applyFill="1" applyBorder="1" applyAlignment="1" applyProtection="1">
      <alignment horizontal="center" vertical="center" wrapText="1"/>
      <protection hidden="1" locked="0"/>
    </xf>
    <xf numFmtId="0" fontId="19" fillId="35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u val="none"/>
        <color indexed="10"/>
      </font>
    </dxf>
    <dxf>
      <font>
        <b/>
        <i val="0"/>
        <u val="none"/>
        <color indexed="10"/>
      </font>
    </dxf>
    <dxf>
      <font>
        <b/>
        <i val="0"/>
        <u val="none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22</xdr:row>
      <xdr:rowOff>66675</xdr:rowOff>
    </xdr:from>
    <xdr:to>
      <xdr:col>1</xdr:col>
      <xdr:colOff>1514475</xdr:colOff>
      <xdr:row>28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14875"/>
          <a:ext cx="1743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="125" zoomScaleNormal="125" workbookViewId="0" topLeftCell="A67">
      <selection activeCell="B100" sqref="B100"/>
    </sheetView>
  </sheetViews>
  <sheetFormatPr defaultColWidth="11.00390625" defaultRowHeight="12.75"/>
  <cols>
    <col min="1" max="1" width="3.625" style="59" customWidth="1"/>
    <col min="2" max="2" width="51.75390625" style="59" customWidth="1"/>
    <col min="3" max="3" width="6.625" style="59" customWidth="1"/>
    <col min="4" max="4" width="17.75390625" style="59" customWidth="1"/>
    <col min="5" max="5" width="10.75390625" style="59" customWidth="1"/>
    <col min="6" max="6" width="10.875" style="59" customWidth="1"/>
    <col min="7" max="7" width="19.125" style="59" customWidth="1"/>
    <col min="8" max="16384" width="10.75390625" style="59" customWidth="1"/>
  </cols>
  <sheetData>
    <row r="1" spans="1:8" ht="12.75">
      <c r="A1" s="125"/>
      <c r="B1" s="125"/>
      <c r="C1" s="125"/>
      <c r="D1" s="125"/>
      <c r="E1" s="125"/>
      <c r="F1" s="125"/>
      <c r="G1" s="125"/>
      <c r="H1" s="125"/>
    </row>
    <row r="2" spans="1:8" ht="12.75">
      <c r="A2" s="125"/>
      <c r="B2" s="129" t="s">
        <v>0</v>
      </c>
      <c r="C2" s="125"/>
      <c r="D2" s="125"/>
      <c r="E2" s="125"/>
      <c r="F2" s="125"/>
      <c r="G2" s="125"/>
      <c r="H2" s="125"/>
    </row>
    <row r="3" spans="1:8" ht="12.75">
      <c r="A3" s="125"/>
      <c r="B3" s="129"/>
      <c r="C3" s="125"/>
      <c r="D3" s="125"/>
      <c r="E3" s="125"/>
      <c r="F3" s="125"/>
      <c r="G3" s="125"/>
      <c r="H3" s="125"/>
    </row>
    <row r="4" spans="1:10" ht="27.75" customHeight="1">
      <c r="A4" s="149" t="s">
        <v>1</v>
      </c>
      <c r="B4" s="149"/>
      <c r="C4" s="149"/>
      <c r="D4" s="149"/>
      <c r="E4" s="149"/>
      <c r="F4" s="125"/>
      <c r="G4" s="125"/>
      <c r="H4" s="125"/>
      <c r="J4" s="59" t="s">
        <v>65</v>
      </c>
    </row>
    <row r="5" spans="1:8" ht="12.75">
      <c r="A5" s="126"/>
      <c r="B5" s="127"/>
      <c r="C5" s="127"/>
      <c r="D5" s="127"/>
      <c r="E5" s="127"/>
      <c r="F5" s="125"/>
      <c r="G5" s="125"/>
      <c r="H5" s="125"/>
    </row>
    <row r="6" spans="1:8" ht="12.75">
      <c r="A6" s="125"/>
      <c r="B6" s="131" t="s">
        <v>41</v>
      </c>
      <c r="C6" s="131"/>
      <c r="D6" s="130" t="s">
        <v>91</v>
      </c>
      <c r="E6" s="131"/>
      <c r="F6" s="131" t="str">
        <f>IF(D6="Powder","&gt;1% of 1 mm particles",IF(D6="Massive","&lt;1% of 1 mm particles"," "))</f>
        <v>&gt;1% of 1 mm particles</v>
      </c>
      <c r="G6" s="131"/>
      <c r="H6" s="125"/>
    </row>
    <row r="7" spans="1:8" ht="12.75">
      <c r="A7" s="125"/>
      <c r="B7" s="131"/>
      <c r="C7" s="131"/>
      <c r="D7" s="134"/>
      <c r="E7" s="131"/>
      <c r="F7" s="131"/>
      <c r="G7" s="131"/>
      <c r="H7" s="125"/>
    </row>
    <row r="8" spans="1:10" ht="12.75">
      <c r="A8" s="125"/>
      <c r="B8" s="131"/>
      <c r="C8" s="131"/>
      <c r="D8" s="134"/>
      <c r="E8" s="131"/>
      <c r="F8" s="131" t="s">
        <v>29</v>
      </c>
      <c r="G8" s="131"/>
      <c r="H8" s="125"/>
      <c r="J8" s="59" t="s">
        <v>21</v>
      </c>
    </row>
    <row r="9" spans="1:10" ht="12.75">
      <c r="A9" s="125"/>
      <c r="B9" s="131" t="s">
        <v>22</v>
      </c>
      <c r="C9" s="131"/>
      <c r="D9" s="145">
        <v>55</v>
      </c>
      <c r="E9" s="131" t="s">
        <v>44</v>
      </c>
      <c r="F9" s="134">
        <f>IF(D6='Cu TOOL'!B98,Calculations!G11,Calculations!D11)</f>
        <v>48</v>
      </c>
      <c r="G9" s="131" t="s">
        <v>44</v>
      </c>
      <c r="H9" s="125"/>
      <c r="J9" s="59" t="s">
        <v>20</v>
      </c>
    </row>
    <row r="10" spans="1:8" ht="12.75">
      <c r="A10" s="125"/>
      <c r="B10" s="131" t="s">
        <v>37</v>
      </c>
      <c r="C10" s="131"/>
      <c r="D10" s="145">
        <v>33</v>
      </c>
      <c r="E10" s="131" t="s">
        <v>45</v>
      </c>
      <c r="F10" s="134">
        <f>IF(D6='Cu TOOL'!B98,Calculations!G12,Calculations!D12)</f>
        <v>36</v>
      </c>
      <c r="G10" s="131" t="s">
        <v>45</v>
      </c>
      <c r="H10" s="125"/>
    </row>
    <row r="11" spans="1:8" ht="13.5" thickBot="1">
      <c r="A11" s="125"/>
      <c r="B11" s="133" t="s">
        <v>36</v>
      </c>
      <c r="C11" s="135"/>
      <c r="D11" s="146">
        <v>12</v>
      </c>
      <c r="E11" s="133" t="s">
        <v>46</v>
      </c>
      <c r="F11" s="134">
        <f>IF(D6='Cu TOOL'!B98,Calculations!G13,Calculations!D13)</f>
        <v>16</v>
      </c>
      <c r="G11" s="131" t="s">
        <v>46</v>
      </c>
      <c r="H11" s="125"/>
    </row>
    <row r="12" spans="1:8" ht="12.75">
      <c r="A12" s="125"/>
      <c r="B12" s="131" t="s">
        <v>66</v>
      </c>
      <c r="C12" s="131" t="str">
        <f>IF(SUM(D9:D11)=0,F8,J9)</f>
        <v>   </v>
      </c>
      <c r="D12" s="134">
        <f>IF(SUM(D9:D11)=0,100,SUM(D9:D11))</f>
        <v>100</v>
      </c>
      <c r="E12" s="131" t="s">
        <v>46</v>
      </c>
      <c r="F12" s="131" t="str">
        <f>IF(D12=100,Calculations!M10,Calculations!M11)</f>
        <v>   </v>
      </c>
      <c r="G12" s="131"/>
      <c r="H12" s="125"/>
    </row>
    <row r="13" spans="1:8" ht="12.75">
      <c r="A13" s="125"/>
      <c r="B13" s="131"/>
      <c r="C13" s="131"/>
      <c r="D13" s="134"/>
      <c r="E13" s="131"/>
      <c r="F13" s="131"/>
      <c r="G13" s="131"/>
      <c r="H13" s="125"/>
    </row>
    <row r="14" spans="1:8" ht="12.75">
      <c r="A14" s="125"/>
      <c r="B14" s="131" t="s">
        <v>30</v>
      </c>
      <c r="C14" s="131"/>
      <c r="D14" s="148">
        <v>0.007</v>
      </c>
      <c r="E14" s="131" t="s">
        <v>88</v>
      </c>
      <c r="F14" s="154" t="str">
        <f>IF(D14=0,B99,J4)</f>
        <v>   </v>
      </c>
      <c r="G14" s="155"/>
      <c r="H14" s="125"/>
    </row>
    <row r="15" spans="1:8" ht="12.75">
      <c r="A15" s="125"/>
      <c r="B15" s="131" t="s">
        <v>49</v>
      </c>
      <c r="C15" s="131"/>
      <c r="D15" s="145">
        <v>990</v>
      </c>
      <c r="E15" s="131" t="s">
        <v>90</v>
      </c>
      <c r="F15" s="155"/>
      <c r="G15" s="155"/>
      <c r="H15" s="125"/>
    </row>
    <row r="16" spans="1:8" ht="15">
      <c r="A16" s="125"/>
      <c r="B16" s="147" t="s">
        <v>69</v>
      </c>
      <c r="C16" s="125"/>
      <c r="D16" s="125"/>
      <c r="E16" s="125"/>
      <c r="F16" s="125"/>
      <c r="G16" s="125"/>
      <c r="H16" s="125"/>
    </row>
    <row r="17" spans="1:8" ht="13.5" thickBot="1">
      <c r="A17" s="125"/>
      <c r="B17" s="131" t="s">
        <v>35</v>
      </c>
      <c r="C17" s="131"/>
      <c r="D17" s="139">
        <f>IF(D14=0,B96,B100)</f>
        <v>0.003360717881022267</v>
      </c>
      <c r="E17" s="131" t="s">
        <v>43</v>
      </c>
      <c r="F17" s="131"/>
      <c r="G17" s="131"/>
      <c r="H17" s="125"/>
    </row>
    <row r="18" spans="1:8" ht="49.5" customHeight="1" thickBot="1">
      <c r="A18" s="125"/>
      <c r="B18" s="132" t="s">
        <v>23</v>
      </c>
      <c r="C18" s="131"/>
      <c r="D18" s="144">
        <f>IF(D14=0,B96,B101)</f>
        <v>0.08247160444226422</v>
      </c>
      <c r="E18" s="150" t="str">
        <f>IF(D14=0,B96,C101)</f>
        <v>RCR&lt;1; Safe use can be demonstrated.</v>
      </c>
      <c r="F18" s="150"/>
      <c r="G18" s="151"/>
      <c r="H18" s="125"/>
    </row>
    <row r="19" spans="1:8" ht="15">
      <c r="A19" s="125"/>
      <c r="B19" s="147" t="s">
        <v>68</v>
      </c>
      <c r="C19" s="125"/>
      <c r="D19" s="125"/>
      <c r="E19" s="125"/>
      <c r="F19" s="125"/>
      <c r="G19" s="125"/>
      <c r="H19" s="125"/>
    </row>
    <row r="20" spans="1:8" ht="13.5" thickBot="1">
      <c r="A20" s="125"/>
      <c r="B20" s="131" t="s">
        <v>32</v>
      </c>
      <c r="C20" s="131"/>
      <c r="D20" s="138">
        <f>IF(D6='Cu TOOL'!B98,Calculations!F90,Calculations!E90)</f>
        <v>0.01615338179037655</v>
      </c>
      <c r="E20" s="131" t="s">
        <v>43</v>
      </c>
      <c r="F20" s="131"/>
      <c r="G20" s="131"/>
      <c r="H20" s="125"/>
    </row>
    <row r="21" spans="1:8" ht="39.75" customHeight="1" thickBot="1">
      <c r="A21" s="125"/>
      <c r="B21" s="132" t="s">
        <v>23</v>
      </c>
      <c r="C21" s="131"/>
      <c r="D21" s="137">
        <f>IF(D6='Cu TOOL'!B98,Calculations!F92,Calculations!E92)</f>
        <v>0.3964020071258049</v>
      </c>
      <c r="E21" s="150" t="str">
        <f>IF(D21&gt;=1,Calculations!M16,Calculations!M17)</f>
        <v>RCR&lt;1; Safe use can be demonstrated.</v>
      </c>
      <c r="F21" s="150"/>
      <c r="G21" s="151"/>
      <c r="H21" s="125"/>
    </row>
    <row r="22" spans="1:8" ht="12.75">
      <c r="A22" s="125"/>
      <c r="B22" s="125"/>
      <c r="C22" s="125"/>
      <c r="D22" s="125"/>
      <c r="E22" s="125"/>
      <c r="F22" s="125"/>
      <c r="G22" s="125"/>
      <c r="H22" s="125"/>
    </row>
    <row r="23" ht="12.75"/>
    <row r="24" ht="12.75"/>
    <row r="25" ht="12.75"/>
    <row r="26" ht="12.75"/>
    <row r="27" ht="12.75"/>
    <row r="28" ht="12.75"/>
    <row r="29" ht="12.75"/>
    <row r="96" ht="12.75">
      <c r="B96" s="59" t="s">
        <v>67</v>
      </c>
    </row>
    <row r="97" ht="12.75">
      <c r="B97" s="59" t="s">
        <v>27</v>
      </c>
    </row>
    <row r="98" ht="12.75">
      <c r="B98" s="59" t="s">
        <v>34</v>
      </c>
    </row>
    <row r="99" spans="2:5" ht="12.75">
      <c r="B99" s="140" t="s">
        <v>33</v>
      </c>
      <c r="C99" s="140"/>
      <c r="D99" s="140"/>
      <c r="E99" s="140"/>
    </row>
    <row r="100" spans="2:5" ht="13.5" thickBot="1">
      <c r="B100" s="141">
        <f>IF(D6='Cu TOOL'!B98,Calculations!F60,Calculations!E60)</f>
        <v>0.003360717881022267</v>
      </c>
      <c r="C100" s="142" t="s">
        <v>43</v>
      </c>
      <c r="D100" s="142"/>
      <c r="E100" s="142"/>
    </row>
    <row r="101" spans="2:5" ht="13.5" thickBot="1">
      <c r="B101" s="143">
        <f>IF(D6='Cu TOOL'!B98,Calculations!F62,Calculations!E62)</f>
        <v>0.08247160444226422</v>
      </c>
      <c r="C101" s="152" t="str">
        <f>IF(B101&gt;=1,Calculations!M16,Calculations!M17)</f>
        <v>RCR&lt;1; Safe use can be demonstrated.</v>
      </c>
      <c r="D101" s="152"/>
      <c r="E101" s="153"/>
    </row>
  </sheetData>
  <sheetProtection/>
  <mergeCells count="5">
    <mergeCell ref="A4:E4"/>
    <mergeCell ref="E18:G18"/>
    <mergeCell ref="E21:G21"/>
    <mergeCell ref="C101:E101"/>
    <mergeCell ref="F14:G15"/>
  </mergeCells>
  <conditionalFormatting sqref="D12">
    <cfRule type="cellIs" priority="1" dxfId="6" operator="greaterThan" stopIfTrue="1">
      <formula>100</formula>
    </cfRule>
    <cfRule type="cellIs" priority="2" dxfId="6" operator="between" stopIfTrue="1">
      <formula>0.0001</formula>
      <formula>99.999999</formula>
    </cfRule>
  </conditionalFormatting>
  <conditionalFormatting sqref="F12">
    <cfRule type="cellIs" priority="3" dxfId="6" operator="equal" stopIfTrue="1">
      <formula>"Sum should be 100%"</formula>
    </cfRule>
  </conditionalFormatting>
  <conditionalFormatting sqref="E21:G21 E18:G18 C101:E101">
    <cfRule type="cellIs" priority="4" dxfId="6" operator="equal" stopIfTrue="1">
      <formula>"RCR&gt;1; There is a risk determined, extra risk management measures should be implemented!"</formula>
    </cfRule>
  </conditionalFormatting>
  <conditionalFormatting sqref="D18 D21 B101">
    <cfRule type="cellIs" priority="5" dxfId="6" operator="greaterThan" stopIfTrue="1">
      <formula>1</formula>
    </cfRule>
  </conditionalFormatting>
  <conditionalFormatting sqref="F14:G15">
    <cfRule type="cellIs" priority="6" dxfId="6" operator="equal" stopIfTrue="1">
      <formula>"!Fill in 'Concentration of Cu inhaled'. If zero, fill in 10^-5."</formula>
    </cfRule>
  </conditionalFormatting>
  <dataValidations count="1">
    <dataValidation type="list" allowBlank="1" showInputMessage="1" showErrorMessage="1" sqref="D6">
      <formula1>'Cu TOOL'!$B$97:$B$98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21"/>
  <sheetViews>
    <sheetView tabSelected="1" workbookViewId="0" topLeftCell="A38">
      <selection activeCell="E94" sqref="E94"/>
    </sheetView>
  </sheetViews>
  <sheetFormatPr defaultColWidth="7.625" defaultRowHeight="12.75"/>
  <cols>
    <col min="1" max="2" width="7.625" style="0" customWidth="1"/>
    <col min="3" max="3" width="11.75390625" style="0" customWidth="1"/>
    <col min="4" max="4" width="24.625" style="0" customWidth="1"/>
    <col min="5" max="5" width="18.875" style="4" customWidth="1"/>
    <col min="6" max="6" width="18.875" style="86" customWidth="1"/>
    <col min="7" max="7" width="18.125" style="86" bestFit="1" customWidth="1"/>
    <col min="8" max="8" width="18.875" style="86" customWidth="1"/>
    <col min="9" max="10" width="15.375" style="86" customWidth="1"/>
    <col min="11" max="11" width="7.875" style="86" customWidth="1"/>
    <col min="12" max="12" width="25.625" style="86" customWidth="1"/>
    <col min="13" max="13" width="12.375" style="87" customWidth="1"/>
    <col min="14" max="14" width="14.375" style="87" customWidth="1"/>
    <col min="15" max="15" width="13.125" style="86" customWidth="1"/>
    <col min="16" max="38" width="7.625" style="51" customWidth="1"/>
  </cols>
  <sheetData>
    <row r="1" spans="1:9" ht="12.75">
      <c r="A1" s="1" t="s">
        <v>80</v>
      </c>
      <c r="B1" s="1"/>
      <c r="C1" s="1"/>
      <c r="D1" s="2"/>
      <c r="E1" s="3"/>
      <c r="F1" s="85"/>
      <c r="G1" s="85"/>
      <c r="H1" s="85"/>
      <c r="I1" s="85"/>
    </row>
    <row r="2" spans="1:36" ht="24.75" customHeight="1">
      <c r="A2" s="1" t="s">
        <v>81</v>
      </c>
      <c r="B2" s="1"/>
      <c r="C2" s="1"/>
      <c r="D2" s="2"/>
      <c r="E2" s="3"/>
      <c r="F2" s="85"/>
      <c r="G2" s="85"/>
      <c r="H2" s="85"/>
      <c r="I2" s="85"/>
      <c r="AA2" s="159"/>
      <c r="AB2" s="159"/>
      <c r="AC2" s="160"/>
      <c r="AD2" s="160"/>
      <c r="AE2" s="160"/>
      <c r="AF2" s="160"/>
      <c r="AG2" s="88"/>
      <c r="AH2" s="160"/>
      <c r="AI2" s="160"/>
      <c r="AJ2" s="88"/>
    </row>
    <row r="3" spans="2:40" ht="12.75">
      <c r="B3" s="6" t="s">
        <v>82</v>
      </c>
      <c r="C3" s="7" t="s">
        <v>83</v>
      </c>
      <c r="D3" s="8" t="s">
        <v>84</v>
      </c>
      <c r="AM3" s="156" t="s">
        <v>85</v>
      </c>
      <c r="AN3" s="156"/>
    </row>
    <row r="4" spans="5:41" ht="12.75"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62"/>
      <c r="AM4" s="10"/>
      <c r="AN4" s="10"/>
      <c r="AO4" s="11"/>
    </row>
    <row r="5" spans="1:38" s="11" customFormat="1" ht="12.75">
      <c r="A5" s="12"/>
      <c r="B5" s="13" t="s">
        <v>86</v>
      </c>
      <c r="C5" s="12"/>
      <c r="D5" s="12"/>
      <c r="E5" s="14"/>
      <c r="F5" s="89"/>
      <c r="G5" s="89"/>
      <c r="H5" s="91"/>
      <c r="I5" s="89"/>
      <c r="J5" s="89"/>
      <c r="K5" s="89"/>
      <c r="L5" s="89"/>
      <c r="M5" s="90"/>
      <c r="N5" s="90"/>
      <c r="O5" s="89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2:38" s="11" customFormat="1" ht="12.75">
      <c r="B6" s="15" t="s">
        <v>87</v>
      </c>
      <c r="E6" s="16"/>
      <c r="F6" s="89" t="s">
        <v>38</v>
      </c>
      <c r="G6" s="89"/>
      <c r="H6" s="91"/>
      <c r="I6" s="89"/>
      <c r="J6" s="89"/>
      <c r="K6" s="89"/>
      <c r="L6" s="89"/>
      <c r="M6" s="89"/>
      <c r="N6" s="89"/>
      <c r="O6" s="89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68" ht="12.75">
      <c r="A7" t="s">
        <v>88</v>
      </c>
      <c r="B7" t="s">
        <v>89</v>
      </c>
      <c r="E7" s="81">
        <f>'Cu TOOL'!D14</f>
        <v>0.007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84"/>
      <c r="AN7" s="17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5:68" ht="12.75">
      <c r="E8" s="18"/>
      <c r="F8" s="93"/>
      <c r="G8" s="93"/>
      <c r="H8" s="92"/>
      <c r="I8" s="93"/>
      <c r="J8" s="93"/>
      <c r="K8" s="93"/>
      <c r="L8" s="93"/>
      <c r="M8" s="93"/>
      <c r="N8" s="93"/>
      <c r="O8" s="93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t="s">
        <v>90</v>
      </c>
      <c r="B9" t="s">
        <v>2</v>
      </c>
      <c r="E9" s="18">
        <f>E7*10</f>
        <v>0.07</v>
      </c>
      <c r="F9" s="92"/>
      <c r="H9" s="92"/>
      <c r="I9" s="92"/>
      <c r="J9" s="92"/>
      <c r="K9" s="92"/>
      <c r="L9" s="92"/>
      <c r="M9" s="92"/>
      <c r="N9" s="92"/>
      <c r="O9" s="92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62"/>
      <c r="AM9" s="21"/>
      <c r="AN9" s="2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4:68" ht="12.75">
      <c r="D10" t="s">
        <v>40</v>
      </c>
      <c r="E10" s="18"/>
      <c r="G10" s="92" t="s">
        <v>28</v>
      </c>
      <c r="H10" s="92"/>
      <c r="I10" s="92"/>
      <c r="J10" s="92"/>
      <c r="K10" s="92"/>
      <c r="L10" s="92"/>
      <c r="M10" s="59" t="s">
        <v>26</v>
      </c>
      <c r="N10" s="92"/>
      <c r="O10" s="92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62"/>
      <c r="AM10" s="21"/>
      <c r="AN10" s="2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t="s">
        <v>3</v>
      </c>
      <c r="C11" t="s">
        <v>4</v>
      </c>
      <c r="D11" s="23">
        <v>48</v>
      </c>
      <c r="E11" s="18">
        <f>IF('Cu TOOL'!D9=0,'Cu TOOL'!F9/100*Calculations!E9,'Cu TOOL'!D9/100*Calculations!E9)</f>
        <v>0.038500000000000006</v>
      </c>
      <c r="G11" s="92">
        <v>55</v>
      </c>
      <c r="I11" s="92"/>
      <c r="J11" s="92"/>
      <c r="K11" s="92"/>
      <c r="L11" s="92"/>
      <c r="M11" s="128" t="s">
        <v>31</v>
      </c>
      <c r="N11" s="92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62"/>
      <c r="AM11" s="21"/>
      <c r="AN11" s="2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t="s">
        <v>3</v>
      </c>
      <c r="C12" t="s">
        <v>5</v>
      </c>
      <c r="D12" s="23">
        <v>36</v>
      </c>
      <c r="E12" s="18">
        <f>IF('Cu TOOL'!D10=0,'Cu TOOL'!F10/100*Calculations!E9,'Cu TOOL'!D10/100*Calculations!E9)</f>
        <v>0.023100000000000002</v>
      </c>
      <c r="G12" s="92">
        <v>33</v>
      </c>
      <c r="I12" s="92"/>
      <c r="J12" s="92"/>
      <c r="K12" s="92"/>
      <c r="L12" s="92"/>
      <c r="M12" s="59"/>
      <c r="N12" s="92"/>
      <c r="O12" s="92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62"/>
      <c r="AM12" s="21"/>
      <c r="AN12" s="2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t="s">
        <v>3</v>
      </c>
      <c r="C13" t="s">
        <v>6</v>
      </c>
      <c r="D13" s="23">
        <v>16</v>
      </c>
      <c r="E13" s="18">
        <f>IF('Cu TOOL'!D11=0,'Cu TOOL'!F11/100*Calculations!E9,'Cu TOOL'!D11/100*Calculations!E9)</f>
        <v>0.008400000000000001</v>
      </c>
      <c r="G13" s="92">
        <v>12</v>
      </c>
      <c r="I13" s="92"/>
      <c r="J13" s="92"/>
      <c r="K13" s="92"/>
      <c r="L13" s="92"/>
      <c r="M13" s="59" t="s">
        <v>29</v>
      </c>
      <c r="N13" s="92"/>
      <c r="O13" s="92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62"/>
      <c r="AM13" s="21"/>
      <c r="AN13" s="2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5:68" ht="12.75">
      <c r="E14" s="22"/>
      <c r="F14" s="92"/>
      <c r="G14" s="92"/>
      <c r="H14" s="92"/>
      <c r="I14" s="92"/>
      <c r="J14" s="92"/>
      <c r="K14" s="92"/>
      <c r="L14" s="92"/>
      <c r="M14" s="59" t="s">
        <v>48</v>
      </c>
      <c r="N14" s="92"/>
      <c r="O14" s="9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t="s">
        <v>3</v>
      </c>
      <c r="B15" t="s">
        <v>7</v>
      </c>
      <c r="E15" s="23">
        <f>0.997*E11+0.942*E12+0.797*E13</f>
        <v>0.06683950000000001</v>
      </c>
      <c r="F15" s="10"/>
      <c r="G15" s="115"/>
      <c r="H15" s="10"/>
      <c r="I15" s="10"/>
      <c r="J15" s="10"/>
      <c r="K15" s="10"/>
      <c r="L15" s="10"/>
      <c r="M15" s="59"/>
      <c r="N15" s="10"/>
      <c r="O15" s="1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62"/>
      <c r="AM15" s="24"/>
      <c r="AN15" s="24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t="s">
        <v>3</v>
      </c>
      <c r="B16" t="s">
        <v>8</v>
      </c>
      <c r="E16" s="25">
        <f>0.002*E11+0.018*E12+0.033*E13</f>
        <v>0.0007700000000000001</v>
      </c>
      <c r="F16" s="52"/>
      <c r="G16" s="116"/>
      <c r="H16" s="52"/>
      <c r="I16" s="52"/>
      <c r="J16" s="52"/>
      <c r="K16" s="52"/>
      <c r="L16" s="52"/>
      <c r="M16" s="128" t="s">
        <v>25</v>
      </c>
      <c r="N16" s="52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62"/>
      <c r="AM16" s="26"/>
      <c r="AN16" s="26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t="s">
        <v>3</v>
      </c>
      <c r="B17" t="s">
        <v>42</v>
      </c>
      <c r="E17" s="23">
        <f>0.0002*E11+0.028*E12+0.077*E13</f>
        <v>0.0013013000000000002</v>
      </c>
      <c r="F17" s="10"/>
      <c r="G17" s="115"/>
      <c r="H17" s="10"/>
      <c r="I17" s="10"/>
      <c r="J17" s="10"/>
      <c r="K17" s="10"/>
      <c r="L17" s="10"/>
      <c r="M17" s="59" t="s">
        <v>24</v>
      </c>
      <c r="N17" s="10"/>
      <c r="O17" s="1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62"/>
      <c r="AM17" s="24"/>
      <c r="AN17" s="24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5:68" ht="12.75">
      <c r="E18" s="23"/>
      <c r="F18" s="10"/>
      <c r="G18" s="115"/>
      <c r="H18" s="10"/>
      <c r="I18" s="10"/>
      <c r="J18" s="10"/>
      <c r="K18" s="10"/>
      <c r="L18" s="10"/>
      <c r="M18" s="10"/>
      <c r="N18" s="10"/>
      <c r="O18" s="1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t="s">
        <v>90</v>
      </c>
      <c r="B19" t="s">
        <v>9</v>
      </c>
      <c r="E19" s="27">
        <f>E15+E16</f>
        <v>0.06760950000000002</v>
      </c>
      <c r="F19" s="10"/>
      <c r="G19" s="115"/>
      <c r="H19" s="10"/>
      <c r="I19" s="10"/>
      <c r="J19" s="10"/>
      <c r="K19" s="10"/>
      <c r="L19" s="10"/>
      <c r="M19" s="10"/>
      <c r="N19" s="10"/>
      <c r="O19" s="10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62"/>
      <c r="AM19" s="24"/>
      <c r="AN19" s="24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t="s">
        <v>90</v>
      </c>
      <c r="B20" t="s">
        <v>10</v>
      </c>
      <c r="E20" s="28">
        <f>E17</f>
        <v>0.0013013000000000002</v>
      </c>
      <c r="F20" s="52"/>
      <c r="G20" s="116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62"/>
      <c r="AM20" s="26"/>
      <c r="AN20" s="26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5:68" ht="12.75">
      <c r="E21" s="19"/>
      <c r="F21" s="93"/>
      <c r="G21" s="20"/>
      <c r="H21" s="93"/>
      <c r="I21" s="93"/>
      <c r="J21" s="93"/>
      <c r="K21" s="93"/>
      <c r="L21" s="93"/>
      <c r="M21" s="93"/>
      <c r="N21" s="93"/>
      <c r="O21" s="93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2:68" ht="12.75">
      <c r="B22" s="29" t="s">
        <v>11</v>
      </c>
      <c r="E22" s="22"/>
      <c r="F22" s="92"/>
      <c r="G22" s="18"/>
      <c r="H22" s="92"/>
      <c r="I22" s="92"/>
      <c r="J22" s="92"/>
      <c r="K22" s="92"/>
      <c r="L22" s="92"/>
      <c r="M22" s="92"/>
      <c r="N22" s="92"/>
      <c r="O22" s="9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t="s">
        <v>12</v>
      </c>
      <c r="E23" s="22"/>
      <c r="F23" s="92"/>
      <c r="G23" s="18"/>
      <c r="H23" s="92"/>
      <c r="I23" s="92"/>
      <c r="J23" s="92"/>
      <c r="K23" s="92"/>
      <c r="L23" s="92"/>
      <c r="M23" s="92"/>
      <c r="N23" s="92"/>
      <c r="O23" s="9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5:68" ht="12.75">
      <c r="E24" s="22"/>
      <c r="F24" s="92"/>
      <c r="G24" s="18"/>
      <c r="H24" s="92"/>
      <c r="I24" s="92"/>
      <c r="J24" s="92"/>
      <c r="K24" s="92"/>
      <c r="L24" s="92"/>
      <c r="M24" s="92"/>
      <c r="N24" s="92"/>
      <c r="O24" s="9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2:68" ht="12.75">
      <c r="B25" s="29" t="s">
        <v>13</v>
      </c>
      <c r="E25" s="22"/>
      <c r="F25" s="92"/>
      <c r="G25" s="18"/>
      <c r="H25" s="92"/>
      <c r="I25" s="92"/>
      <c r="J25" s="92"/>
      <c r="K25" s="92"/>
      <c r="L25" s="92"/>
      <c r="M25" s="92"/>
      <c r="N25" s="92"/>
      <c r="O25" s="9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2:68" ht="12.75">
      <c r="B26" t="s">
        <v>14</v>
      </c>
      <c r="E26" s="22">
        <v>2.25</v>
      </c>
      <c r="F26" s="92"/>
      <c r="G26" s="18"/>
      <c r="H26" s="92"/>
      <c r="I26" s="92"/>
      <c r="J26" s="92"/>
      <c r="K26" s="92"/>
      <c r="L26" s="92"/>
      <c r="M26" s="92"/>
      <c r="N26" s="92"/>
      <c r="O26" s="9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2:68" ht="12.75">
      <c r="B27" t="s">
        <v>2</v>
      </c>
      <c r="E27" s="22">
        <v>0.001</v>
      </c>
      <c r="F27" s="92"/>
      <c r="G27" s="18"/>
      <c r="H27" s="92"/>
      <c r="I27" s="92"/>
      <c r="J27" s="92"/>
      <c r="K27" s="92"/>
      <c r="L27" s="92"/>
      <c r="M27" s="92"/>
      <c r="N27" s="92"/>
      <c r="O27" s="9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5:68" ht="12.75">
      <c r="E28" s="22"/>
      <c r="F28" s="92"/>
      <c r="G28" s="18"/>
      <c r="H28" s="92"/>
      <c r="I28" s="92"/>
      <c r="J28" s="92"/>
      <c r="K28" s="92"/>
      <c r="L28" s="92"/>
      <c r="M28" s="92"/>
      <c r="N28" s="92"/>
      <c r="O28" s="9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5:68" ht="12.75">
      <c r="E29" s="22"/>
      <c r="F29" s="92"/>
      <c r="G29" s="18"/>
      <c r="H29" s="92"/>
      <c r="I29" s="92"/>
      <c r="J29" s="92"/>
      <c r="K29" s="92"/>
      <c r="L29" s="92"/>
      <c r="M29" s="92"/>
      <c r="N29" s="92"/>
      <c r="O29" s="9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5:68" ht="12.75">
      <c r="E30" s="22"/>
      <c r="F30" s="92"/>
      <c r="G30" s="18"/>
      <c r="H30" s="92"/>
      <c r="I30" s="92"/>
      <c r="J30" s="92"/>
      <c r="K30" s="92"/>
      <c r="L30" s="92"/>
      <c r="M30" s="92"/>
      <c r="N30" s="92"/>
      <c r="O30" s="9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2:68" ht="12.75">
      <c r="B31" t="s">
        <v>15</v>
      </c>
      <c r="E31" s="30">
        <f>E20+E27</f>
        <v>0.0023013</v>
      </c>
      <c r="F31" s="52"/>
      <c r="G31" s="116"/>
      <c r="H31" s="52"/>
      <c r="I31" s="52"/>
      <c r="J31" s="52"/>
      <c r="K31" s="52"/>
      <c r="L31" s="52"/>
      <c r="M31" s="52"/>
      <c r="N31" s="52"/>
      <c r="O31" s="5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2:68" ht="12.75">
      <c r="B32" t="s">
        <v>16</v>
      </c>
      <c r="E32" s="31">
        <f>E19+E26</f>
        <v>2.3176095</v>
      </c>
      <c r="F32" s="10"/>
      <c r="G32" s="115"/>
      <c r="H32" s="10"/>
      <c r="I32" s="10"/>
      <c r="J32" s="10"/>
      <c r="K32" s="10"/>
      <c r="L32" s="10"/>
      <c r="M32" s="10"/>
      <c r="N32" s="10"/>
      <c r="O32" s="10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2:68" ht="12.75">
      <c r="B33" t="s">
        <v>17</v>
      </c>
      <c r="E33" s="32">
        <f>H23</f>
        <v>0</v>
      </c>
      <c r="F33" s="92"/>
      <c r="G33" s="18"/>
      <c r="H33" s="92"/>
      <c r="I33" s="92"/>
      <c r="J33" s="92"/>
      <c r="K33" s="92"/>
      <c r="L33" s="92"/>
      <c r="M33" s="92"/>
      <c r="N33" s="92"/>
      <c r="O33" s="9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5:68" ht="12.75">
      <c r="E34" s="22"/>
      <c r="F34" s="92"/>
      <c r="G34" s="18"/>
      <c r="H34" s="92"/>
      <c r="I34" s="92"/>
      <c r="J34" s="92"/>
      <c r="K34" s="92"/>
      <c r="L34" s="92"/>
      <c r="M34" s="92"/>
      <c r="N34" s="92"/>
      <c r="O34" s="9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5:68" ht="12.75">
      <c r="E35" s="22"/>
      <c r="F35" s="92"/>
      <c r="G35" s="18"/>
      <c r="H35" s="92"/>
      <c r="I35" s="92"/>
      <c r="J35" s="92"/>
      <c r="K35" s="92"/>
      <c r="L35" s="92"/>
      <c r="M35" s="92"/>
      <c r="N35" s="92"/>
      <c r="O35" s="9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5:68" ht="12.75">
      <c r="E36" s="19"/>
      <c r="F36" s="93"/>
      <c r="G36" s="20"/>
      <c r="H36" s="93"/>
      <c r="I36" s="93"/>
      <c r="J36" s="93"/>
      <c r="K36" s="93"/>
      <c r="L36" s="93"/>
      <c r="M36" s="93"/>
      <c r="N36" s="93"/>
      <c r="O36" s="93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5:68" ht="12.75">
      <c r="E37" s="19"/>
      <c r="F37" s="93"/>
      <c r="G37" s="20"/>
      <c r="H37" s="93"/>
      <c r="I37" s="93"/>
      <c r="J37" s="93"/>
      <c r="K37" s="93"/>
      <c r="L37" s="93"/>
      <c r="M37" s="93"/>
      <c r="N37" s="93"/>
      <c r="O37" s="93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2:68" ht="12.75">
      <c r="B38" s="29" t="s">
        <v>18</v>
      </c>
      <c r="E38" s="19"/>
      <c r="F38" s="93"/>
      <c r="G38" s="20"/>
      <c r="H38" s="93"/>
      <c r="I38" s="93"/>
      <c r="J38" s="93"/>
      <c r="K38" s="93"/>
      <c r="L38" s="93"/>
      <c r="M38" s="93"/>
      <c r="N38" s="93"/>
      <c r="O38" s="93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2:68" ht="12.75">
      <c r="B39" s="33" t="e">
        <f>63.2-15*LN(#REF!)</f>
        <v>#REF!</v>
      </c>
      <c r="E39" s="19"/>
      <c r="F39" s="93"/>
      <c r="G39" s="20"/>
      <c r="H39" s="93"/>
      <c r="I39" s="93"/>
      <c r="J39" s="93"/>
      <c r="K39" s="93"/>
      <c r="L39" s="93"/>
      <c r="M39" s="93"/>
      <c r="N39" s="93"/>
      <c r="O39" s="93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t="e">
        <f>-0.1167*#REF!</f>
        <v>#REF!</v>
      </c>
      <c r="B40" s="33" t="e">
        <f>72.9*EXP(A40)</f>
        <v>#REF!</v>
      </c>
      <c r="E40" s="19"/>
      <c r="F40" s="93"/>
      <c r="G40" s="20"/>
      <c r="H40" s="93"/>
      <c r="I40" s="93"/>
      <c r="J40" s="93"/>
      <c r="K40" s="93"/>
      <c r="L40" s="93"/>
      <c r="M40" s="93"/>
      <c r="N40" s="93"/>
      <c r="O40" s="93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2:68" ht="12.75">
      <c r="B41" s="33" t="e">
        <f>AVERAGE(B39:B40)</f>
        <v>#REF!</v>
      </c>
      <c r="E41" s="19"/>
      <c r="F41" s="93"/>
      <c r="G41" s="20"/>
      <c r="H41" s="93"/>
      <c r="I41" s="93"/>
      <c r="J41" s="93"/>
      <c r="K41" s="93"/>
      <c r="L41" s="93"/>
      <c r="M41" s="93"/>
      <c r="N41" s="93"/>
      <c r="O41" s="93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2:68" ht="12.75">
      <c r="B42" s="33"/>
      <c r="E42" s="34">
        <f>63.2-15*LN(E19)</f>
        <v>103.6101015989392</v>
      </c>
      <c r="F42" s="96"/>
      <c r="G42" s="35"/>
      <c r="H42" s="96"/>
      <c r="I42" s="96"/>
      <c r="J42" s="96"/>
      <c r="K42" s="96"/>
      <c r="L42" s="96"/>
      <c r="M42" s="96"/>
      <c r="N42" s="96"/>
      <c r="O42" s="96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62"/>
      <c r="AM42" s="36"/>
      <c r="AN42" s="36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2:68" ht="12.75">
      <c r="B43" s="33"/>
      <c r="E43" s="34">
        <f>-0.1167*(E19)</f>
        <v>-0.007890028650000002</v>
      </c>
      <c r="F43" s="96"/>
      <c r="G43" s="35"/>
      <c r="H43" s="96"/>
      <c r="I43" s="96"/>
      <c r="J43" s="96"/>
      <c r="K43" s="96"/>
      <c r="L43" s="96"/>
      <c r="M43" s="96"/>
      <c r="N43" s="96"/>
      <c r="O43" s="96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62"/>
      <c r="AM43" s="36"/>
      <c r="AN43" s="36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2:68" ht="12.75">
      <c r="B44" s="33"/>
      <c r="E44" s="34">
        <f>72.9*EXP(E43)</f>
        <v>72.3270800609227</v>
      </c>
      <c r="F44" s="96"/>
      <c r="G44" s="35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62"/>
      <c r="AM44" s="36"/>
      <c r="AN44" s="36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2:68" ht="12.75">
      <c r="B45" s="33"/>
      <c r="C45" s="29" t="s">
        <v>19</v>
      </c>
      <c r="E45" s="4">
        <f>IF(G45&lt;20,20,G45)</f>
        <v>87.96859082993095</v>
      </c>
      <c r="G45" s="86">
        <f>IF(H45&gt;100,100,H45)</f>
        <v>87.96859082993095</v>
      </c>
      <c r="H45" s="37">
        <f>AVERAGE(E42,E44)</f>
        <v>87.96859082993095</v>
      </c>
      <c r="I45" s="96"/>
      <c r="J45" s="96"/>
      <c r="K45" s="96"/>
      <c r="L45" s="96"/>
      <c r="M45" s="96"/>
      <c r="N45" s="96"/>
      <c r="O45" s="96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6"/>
      <c r="AB45" s="97"/>
      <c r="AC45" s="96"/>
      <c r="AD45" s="97"/>
      <c r="AE45" s="96"/>
      <c r="AF45" s="97"/>
      <c r="AG45" s="96"/>
      <c r="AH45" s="96"/>
      <c r="AI45" s="97"/>
      <c r="AJ45" s="96"/>
      <c r="AK45" s="97"/>
      <c r="AL45" s="62"/>
      <c r="AM45" s="36"/>
      <c r="AN45" s="36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5:68" ht="12.75">
      <c r="E46" s="19"/>
      <c r="F46" s="93"/>
      <c r="G46" s="20"/>
      <c r="H46" s="93"/>
      <c r="I46" s="93"/>
      <c r="J46" s="93"/>
      <c r="K46" s="93"/>
      <c r="L46" s="93"/>
      <c r="M46" s="93"/>
      <c r="N46" s="93"/>
      <c r="O46" s="93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2:68" ht="41.25" customHeight="1">
      <c r="B47" s="38" t="s">
        <v>50</v>
      </c>
      <c r="D47" s="38"/>
      <c r="E47" s="19"/>
      <c r="F47" s="98"/>
      <c r="G47" s="20"/>
      <c r="H47" s="93"/>
      <c r="I47" s="98"/>
      <c r="J47" s="98"/>
      <c r="K47" s="98"/>
      <c r="L47" s="98"/>
      <c r="M47" s="98"/>
      <c r="N47" s="98"/>
      <c r="O47" s="98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t="s">
        <v>90</v>
      </c>
      <c r="B48" t="s">
        <v>51</v>
      </c>
      <c r="D48" s="39"/>
      <c r="E48" s="28">
        <f>E20*100/100</f>
        <v>0.0013013000000000002</v>
      </c>
      <c r="F48" s="52"/>
      <c r="G48" s="116"/>
      <c r="H48" s="52"/>
      <c r="I48" s="52"/>
      <c r="J48" s="52"/>
      <c r="K48" s="52"/>
      <c r="L48" s="52"/>
      <c r="M48" s="52"/>
      <c r="N48" s="52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62"/>
      <c r="AM48" s="26"/>
      <c r="AN48" s="26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2.75">
      <c r="A49" t="s">
        <v>90</v>
      </c>
      <c r="B49" t="s">
        <v>52</v>
      </c>
      <c r="D49" s="40"/>
      <c r="E49" s="27">
        <f>E19*E45/100</f>
        <v>0.05947512441716218</v>
      </c>
      <c r="F49" s="10"/>
      <c r="G49" s="115"/>
      <c r="H49" s="10"/>
      <c r="I49" s="10"/>
      <c r="J49" s="10"/>
      <c r="K49" s="10"/>
      <c r="L49" s="10"/>
      <c r="M49" s="10"/>
      <c r="N49" s="10"/>
      <c r="O49" s="10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62"/>
      <c r="AM49" s="24"/>
      <c r="AN49" s="24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2:68" ht="12.75">
      <c r="B50" t="s">
        <v>53</v>
      </c>
      <c r="E50" s="23">
        <f>SUM(E48:E49)</f>
        <v>0.060776424417162175</v>
      </c>
      <c r="F50" s="10"/>
      <c r="G50" s="115"/>
      <c r="H50" s="10"/>
      <c r="I50" s="10"/>
      <c r="J50" s="10"/>
      <c r="K50" s="10"/>
      <c r="L50" s="10"/>
      <c r="M50" s="10"/>
      <c r="N50" s="10"/>
      <c r="O50" s="10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62"/>
      <c r="AM50" s="24"/>
      <c r="AN50" s="24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2.75">
      <c r="A51" s="41" t="s">
        <v>54</v>
      </c>
      <c r="E51" s="25">
        <f>E50*(240/365)/70</f>
        <v>0.0005708940062668854</v>
      </c>
      <c r="F51" s="52"/>
      <c r="G51" s="116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62"/>
      <c r="AM51" s="26"/>
      <c r="AN51" s="26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5:68" ht="12.75">
      <c r="E52" s="19"/>
      <c r="F52" s="93"/>
      <c r="G52" s="20"/>
      <c r="H52" s="93"/>
      <c r="I52" s="93"/>
      <c r="J52" s="93"/>
      <c r="K52" s="93"/>
      <c r="L52" s="93"/>
      <c r="M52" s="93"/>
      <c r="N52" s="93"/>
      <c r="O52" s="93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2:68" ht="12.75">
      <c r="B53" s="42" t="s">
        <v>11</v>
      </c>
      <c r="E53" s="19"/>
      <c r="F53" s="93"/>
      <c r="G53" s="20"/>
      <c r="H53" s="93"/>
      <c r="I53" s="93"/>
      <c r="J53" s="93"/>
      <c r="K53" s="93"/>
      <c r="L53" s="93"/>
      <c r="M53" s="93"/>
      <c r="N53" s="93"/>
      <c r="O53" s="93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12.75">
      <c r="A54" t="s">
        <v>90</v>
      </c>
      <c r="B54" t="s">
        <v>55</v>
      </c>
      <c r="E54" s="81">
        <f>'Cu TOOL'!D15</f>
        <v>990</v>
      </c>
      <c r="F54" s="62"/>
      <c r="G54" s="117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84"/>
      <c r="AN54" s="17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ht="12.75">
      <c r="A55" t="s">
        <v>90</v>
      </c>
      <c r="B55" t="s">
        <v>56</v>
      </c>
      <c r="E55" s="43">
        <f>E54*0.03/100</f>
        <v>0.297</v>
      </c>
      <c r="F55" s="43">
        <f>E54*0.3/100</f>
        <v>2.97</v>
      </c>
      <c r="G55" s="115"/>
      <c r="H55" s="10"/>
      <c r="I55" s="10"/>
      <c r="J55" s="10"/>
      <c r="K55" s="10"/>
      <c r="L55" s="10"/>
      <c r="M55" s="10"/>
      <c r="N55" s="10"/>
      <c r="O55" s="10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62"/>
      <c r="AM55" s="24"/>
      <c r="AN55" s="24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ht="12.75">
      <c r="A56" s="41" t="s">
        <v>54</v>
      </c>
      <c r="E56" s="44">
        <f>E55*(240/365)/70</f>
        <v>0.0027898238747553813</v>
      </c>
      <c r="F56" s="44">
        <f>F55*(240/365)/70</f>
        <v>0.027898238747553816</v>
      </c>
      <c r="G56" s="45"/>
      <c r="H56" s="99"/>
      <c r="I56" s="99"/>
      <c r="J56" s="99"/>
      <c r="K56" s="99"/>
      <c r="L56" s="99"/>
      <c r="M56" s="99"/>
      <c r="N56" s="99"/>
      <c r="O56" s="99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62"/>
      <c r="AM56" s="46"/>
      <c r="AN56" s="46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ht="12.75">
      <c r="A57" s="41"/>
      <c r="E57" s="45"/>
      <c r="F57" s="45"/>
      <c r="G57" s="45"/>
      <c r="H57" s="99"/>
      <c r="I57" s="99"/>
      <c r="J57" s="99"/>
      <c r="K57" s="99"/>
      <c r="L57" s="99"/>
      <c r="M57" s="99"/>
      <c r="N57" s="99"/>
      <c r="O57" s="99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ht="13.5" thickBot="1">
      <c r="A58" s="41"/>
      <c r="B58" s="42" t="s">
        <v>57</v>
      </c>
      <c r="E58" s="45"/>
      <c r="F58" s="45"/>
      <c r="G58" s="45"/>
      <c r="H58" s="99"/>
      <c r="I58" s="99"/>
      <c r="J58" s="99"/>
      <c r="K58" s="99"/>
      <c r="L58" s="99"/>
      <c r="M58" s="99"/>
      <c r="N58" s="99"/>
      <c r="O58" s="99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ht="39.75" customHeight="1">
      <c r="A59" s="47" t="s">
        <v>90</v>
      </c>
      <c r="B59" s="157" t="s">
        <v>39</v>
      </c>
      <c r="C59" s="157"/>
      <c r="D59" s="157"/>
      <c r="E59" s="48">
        <f>(E48+E49+E55)*240/365</f>
        <v>0.2352502516715587</v>
      </c>
      <c r="F59" s="48">
        <f>(E48+E49+F55)*240/365</f>
        <v>1.9928392927674492</v>
      </c>
      <c r="G59" s="118"/>
      <c r="H59" s="10"/>
      <c r="I59" s="10"/>
      <c r="J59" s="10"/>
      <c r="K59" s="10"/>
      <c r="L59" s="10"/>
      <c r="M59" s="10"/>
      <c r="N59" s="10"/>
      <c r="O59" s="10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62"/>
      <c r="AM59" s="49"/>
      <c r="AN59" s="49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ht="12.75">
      <c r="A60" s="50" t="s">
        <v>58</v>
      </c>
      <c r="B60" s="51"/>
      <c r="C60" s="51"/>
      <c r="D60" s="51"/>
      <c r="E60" s="52">
        <f>E59/70</f>
        <v>0.003360717881022267</v>
      </c>
      <c r="F60" s="52">
        <f>F59/70</f>
        <v>0.0284691327538207</v>
      </c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62"/>
      <c r="AM60" s="53"/>
      <c r="AN60" s="53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ht="13.5" thickBot="1">
      <c r="A61" s="54"/>
      <c r="B61" s="55"/>
      <c r="C61" s="56" t="s">
        <v>59</v>
      </c>
      <c r="D61" s="55"/>
      <c r="E61" s="57">
        <f>4.075/E60</f>
        <v>1212.5385540426446</v>
      </c>
      <c r="F61" s="57">
        <f>4.075/F60</f>
        <v>143.13748280418253</v>
      </c>
      <c r="G61" s="119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62"/>
      <c r="AM61" s="58"/>
      <c r="AN61" s="58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s="61" customFormat="1" ht="12.75">
      <c r="A62" s="59"/>
      <c r="B62" s="59"/>
      <c r="C62" s="60" t="s">
        <v>60</v>
      </c>
      <c r="D62" s="59"/>
      <c r="E62" s="9">
        <f>E60/0.04075</f>
        <v>0.08247160444226422</v>
      </c>
      <c r="F62" s="9">
        <f>F60/0.04075</f>
        <v>0.6986290246336369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62"/>
      <c r="AM62" s="10"/>
      <c r="AN62" s="10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s="61" customFormat="1" ht="12.75">
      <c r="A63" s="59"/>
      <c r="B63" s="59"/>
      <c r="C63" s="62"/>
      <c r="D63" s="5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62"/>
      <c r="AM63" s="10"/>
      <c r="AN63" s="10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5:68" ht="12.75">
      <c r="E64" s="19"/>
      <c r="F64" s="19"/>
      <c r="G64" s="20"/>
      <c r="H64" s="93"/>
      <c r="I64" s="93"/>
      <c r="J64" s="93"/>
      <c r="K64" s="93"/>
      <c r="L64" s="93"/>
      <c r="M64" s="103"/>
      <c r="N64" s="103"/>
      <c r="O64" s="93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ht="12.75">
      <c r="A65" s="12"/>
      <c r="B65" s="13" t="s">
        <v>61</v>
      </c>
      <c r="C65" s="12"/>
      <c r="D65" s="12"/>
      <c r="E65" s="63"/>
      <c r="F65" s="63"/>
      <c r="G65" s="20"/>
      <c r="H65" s="93"/>
      <c r="I65" s="93"/>
      <c r="J65" s="93"/>
      <c r="K65" s="93"/>
      <c r="L65" s="93"/>
      <c r="M65" s="103"/>
      <c r="N65" s="103"/>
      <c r="O65" s="9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ht="12.75">
      <c r="A66" t="s">
        <v>90</v>
      </c>
      <c r="B66" t="s">
        <v>62</v>
      </c>
      <c r="E66" s="64">
        <v>1.44</v>
      </c>
      <c r="F66" s="64">
        <v>1.44</v>
      </c>
      <c r="G66" s="20"/>
      <c r="H66" s="93"/>
      <c r="I66" s="93"/>
      <c r="J66" s="93"/>
      <c r="K66" s="93"/>
      <c r="L66" s="93"/>
      <c r="M66" s="103"/>
      <c r="N66" s="103"/>
      <c r="O66" s="93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ht="12.75">
      <c r="A67" t="s">
        <v>90</v>
      </c>
      <c r="B67" t="s">
        <v>63</v>
      </c>
      <c r="E67" s="65">
        <v>0.057</v>
      </c>
      <c r="F67" s="65">
        <v>0.057</v>
      </c>
      <c r="G67" s="20"/>
      <c r="H67" s="93"/>
      <c r="I67" s="93"/>
      <c r="J67" s="93"/>
      <c r="K67" s="93"/>
      <c r="L67" s="93"/>
      <c r="M67" s="103"/>
      <c r="N67" s="103"/>
      <c r="O67" s="93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ht="12.75">
      <c r="A68" t="s">
        <v>90</v>
      </c>
      <c r="B68" t="s">
        <v>64</v>
      </c>
      <c r="E68" s="65">
        <v>0</v>
      </c>
      <c r="F68" s="65">
        <v>0</v>
      </c>
      <c r="G68" s="20"/>
      <c r="H68" s="93"/>
      <c r="I68" s="93"/>
      <c r="J68" s="93"/>
      <c r="K68" s="93"/>
      <c r="L68" s="93"/>
      <c r="M68" s="103"/>
      <c r="N68" s="103"/>
      <c r="O68" s="93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ht="12.75">
      <c r="A69" t="s">
        <v>90</v>
      </c>
      <c r="B69" t="s">
        <v>70</v>
      </c>
      <c r="E69" s="66">
        <v>0.14</v>
      </c>
      <c r="F69" s="66">
        <v>0.14</v>
      </c>
      <c r="G69" s="20"/>
      <c r="H69" s="93"/>
      <c r="I69" s="93"/>
      <c r="J69" s="93"/>
      <c r="K69" s="93"/>
      <c r="L69" s="93"/>
      <c r="M69" s="103"/>
      <c r="N69" s="103"/>
      <c r="O69" s="93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5:68" ht="12.75">
      <c r="E70" s="20"/>
      <c r="F70" s="20"/>
      <c r="G70" s="20"/>
      <c r="H70" s="93"/>
      <c r="I70" s="93"/>
      <c r="J70" s="93"/>
      <c r="K70" s="93"/>
      <c r="L70" s="93"/>
      <c r="M70" s="103"/>
      <c r="N70" s="103"/>
      <c r="O70" s="93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5:68" ht="12.75">
      <c r="E71" s="35">
        <f>63.2-15*LN(E19+E66)</f>
        <v>57.042120743042034</v>
      </c>
      <c r="F71" s="35">
        <f>63.2-15*LN(E19+F66)</f>
        <v>57.042120743042034</v>
      </c>
      <c r="G71" s="35"/>
      <c r="H71" s="96"/>
      <c r="I71" s="96"/>
      <c r="J71" s="96"/>
      <c r="K71" s="96"/>
      <c r="L71" s="96"/>
      <c r="M71" s="97"/>
      <c r="N71" s="97"/>
      <c r="O71" s="96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5:68" ht="12.75">
      <c r="E72" s="34">
        <f>-0.1167*(E19+E66)</f>
        <v>-0.17593802865</v>
      </c>
      <c r="F72" s="34">
        <f>-0.1167*(E19+F66)</f>
        <v>-0.17593802865</v>
      </c>
      <c r="G72" s="35"/>
      <c r="H72" s="96"/>
      <c r="I72" s="96"/>
      <c r="J72" s="96"/>
      <c r="K72" s="96"/>
      <c r="L72" s="96"/>
      <c r="M72" s="97"/>
      <c r="N72" s="97"/>
      <c r="O72" s="96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5:68" ht="12.75">
      <c r="E73" s="35">
        <f>72.9*EXP(E72)</f>
        <v>61.13903973670465</v>
      </c>
      <c r="F73" s="35">
        <f>72.9*EXP(F72)</f>
        <v>61.13903973670465</v>
      </c>
      <c r="G73" s="35"/>
      <c r="H73" s="96"/>
      <c r="I73" s="96"/>
      <c r="J73" s="96"/>
      <c r="K73" s="96"/>
      <c r="L73" s="96"/>
      <c r="M73" s="97"/>
      <c r="N73" s="97"/>
      <c r="O73" s="96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3:68" ht="12.75">
      <c r="C74" s="29" t="s">
        <v>18</v>
      </c>
      <c r="E74" s="4">
        <f>IF(G74&lt;20,20,G74)</f>
        <v>59.09058023987335</v>
      </c>
      <c r="F74" s="4">
        <f>IF(G75&lt;20,20,H75)</f>
        <v>59.09058023987335</v>
      </c>
      <c r="G74" s="86">
        <f>IF(H74&gt;100,100,H74)</f>
        <v>59.09058023987335</v>
      </c>
      <c r="H74" s="37">
        <f>AVERAGE(E71,E73)</f>
        <v>59.09058023987335</v>
      </c>
      <c r="I74" s="96"/>
      <c r="J74" s="96"/>
      <c r="K74" s="96"/>
      <c r="L74" s="96"/>
      <c r="M74" s="97"/>
      <c r="N74" s="97"/>
      <c r="O74" s="96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3:38" s="11" customFormat="1" ht="12.75">
      <c r="C75" s="67"/>
      <c r="E75" s="35"/>
      <c r="F75" s="35"/>
      <c r="G75" s="86">
        <f>IF(H75&gt;100,100,H75)</f>
        <v>59.09058023987335</v>
      </c>
      <c r="H75" s="37">
        <f>AVERAGE(F71,F73)</f>
        <v>59.09058023987335</v>
      </c>
      <c r="I75" s="96"/>
      <c r="J75" s="96"/>
      <c r="K75" s="96"/>
      <c r="L75" s="96"/>
      <c r="M75" s="97"/>
      <c r="N75" s="97"/>
      <c r="O75" s="96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</row>
    <row r="76" spans="1:68" ht="12.75">
      <c r="A76" s="12"/>
      <c r="B76" s="13" t="s">
        <v>71</v>
      </c>
      <c r="C76" s="12"/>
      <c r="D76" s="12"/>
      <c r="E76" s="63"/>
      <c r="F76" s="63"/>
      <c r="G76" s="20"/>
      <c r="H76" s="93"/>
      <c r="I76" s="93"/>
      <c r="J76" s="93"/>
      <c r="K76" s="93"/>
      <c r="L76" s="93"/>
      <c r="M76" s="103"/>
      <c r="N76" s="103"/>
      <c r="O76" s="93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  <row r="77" spans="1:68" ht="12.75">
      <c r="A77" t="s">
        <v>90</v>
      </c>
      <c r="B77" t="s">
        <v>72</v>
      </c>
      <c r="D77" s="39"/>
      <c r="E77" s="68">
        <f>E66*E74/100</f>
        <v>0.8509043554541762</v>
      </c>
      <c r="F77" s="68">
        <f>F66*F74/100</f>
        <v>0.8509043554541762</v>
      </c>
      <c r="G77" s="35"/>
      <c r="H77" s="96"/>
      <c r="I77" s="96"/>
      <c r="J77" s="96"/>
      <c r="K77" s="96"/>
      <c r="L77" s="96"/>
      <c r="M77" s="97"/>
      <c r="N77" s="97"/>
      <c r="O77" s="96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</row>
    <row r="78" spans="1:68" ht="12.75">
      <c r="A78" t="s">
        <v>90</v>
      </c>
      <c r="B78" t="s">
        <v>73</v>
      </c>
      <c r="D78" s="40"/>
      <c r="E78" s="65">
        <f>(E67+E68)*1</f>
        <v>0.057</v>
      </c>
      <c r="F78" s="65">
        <f>(F67+F68)*1</f>
        <v>0.057</v>
      </c>
      <c r="G78" s="20"/>
      <c r="H78" s="93"/>
      <c r="I78" s="93"/>
      <c r="J78" s="93"/>
      <c r="K78" s="93"/>
      <c r="L78" s="93"/>
      <c r="M78" s="103"/>
      <c r="N78" s="103"/>
      <c r="O78" s="93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</row>
    <row r="79" spans="1:68" ht="12.75">
      <c r="A79" t="s">
        <v>90</v>
      </c>
      <c r="B79" t="s">
        <v>74</v>
      </c>
      <c r="D79" s="5"/>
      <c r="E79" s="69">
        <f>E69*0.3/100</f>
        <v>0.00042</v>
      </c>
      <c r="F79" s="69">
        <f>F69*0.3/100</f>
        <v>0.00042</v>
      </c>
      <c r="G79" s="120"/>
      <c r="H79" s="105"/>
      <c r="I79" s="105"/>
      <c r="J79" s="105"/>
      <c r="K79" s="105"/>
      <c r="L79" s="105"/>
      <c r="M79" s="106"/>
      <c r="N79" s="106"/>
      <c r="O79" s="105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</row>
    <row r="80" spans="1:68" ht="12.75">
      <c r="A80" s="70" t="s">
        <v>90</v>
      </c>
      <c r="B80" s="70" t="s">
        <v>75</v>
      </c>
      <c r="C80" s="70"/>
      <c r="D80" s="70"/>
      <c r="E80" s="71">
        <f>SUM(E77:E79)</f>
        <v>0.9083243554541762</v>
      </c>
      <c r="F80" s="71">
        <f>SUM(F77:F79)</f>
        <v>0.9083243554541762</v>
      </c>
      <c r="G80" s="121"/>
      <c r="H80" s="107"/>
      <c r="I80" s="107"/>
      <c r="J80" s="107"/>
      <c r="K80" s="107"/>
      <c r="L80" s="107"/>
      <c r="M80" s="108"/>
      <c r="N80" s="108"/>
      <c r="O80" s="107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</row>
    <row r="81" spans="1:68" ht="12.75">
      <c r="A81" s="72" t="s">
        <v>58</v>
      </c>
      <c r="B81" s="72" t="s">
        <v>75</v>
      </c>
      <c r="C81" s="72"/>
      <c r="D81" s="72"/>
      <c r="E81" s="73">
        <f>E80/70</f>
        <v>0.012976062220773946</v>
      </c>
      <c r="F81" s="73">
        <f>F80/70</f>
        <v>0.012976062220773946</v>
      </c>
      <c r="G81" s="122"/>
      <c r="H81" s="109"/>
      <c r="I81" s="109"/>
      <c r="J81" s="109"/>
      <c r="K81" s="109"/>
      <c r="L81" s="109"/>
      <c r="M81" s="110"/>
      <c r="N81" s="110"/>
      <c r="O81" s="109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</row>
    <row r="82" spans="1:68" ht="12.75">
      <c r="A82" s="72"/>
      <c r="B82" s="72"/>
      <c r="E82" s="74"/>
      <c r="F82" s="74"/>
      <c r="G82" s="123"/>
      <c r="H82" s="111"/>
      <c r="I82" s="111"/>
      <c r="J82" s="111"/>
      <c r="K82" s="111"/>
      <c r="L82" s="111"/>
      <c r="M82" s="112"/>
      <c r="N82" s="112"/>
      <c r="O82" s="111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</row>
    <row r="83" spans="1:68" ht="12.75">
      <c r="A83" t="s">
        <v>90</v>
      </c>
      <c r="B83" t="s">
        <v>76</v>
      </c>
      <c r="E83" s="75">
        <f>E74*E19*(240/365)/(100)</f>
        <v>0.02626904932423705</v>
      </c>
      <c r="F83" s="75">
        <f>F74*E19*(240/365)/(100)</f>
        <v>0.02626904932423705</v>
      </c>
      <c r="G83" s="123"/>
      <c r="H83" s="111"/>
      <c r="I83" s="111"/>
      <c r="J83" s="111"/>
      <c r="K83" s="111"/>
      <c r="L83" s="111"/>
      <c r="M83" s="112"/>
      <c r="N83" s="112"/>
      <c r="O83" s="111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1:68" ht="12.75">
      <c r="A84" t="s">
        <v>90</v>
      </c>
      <c r="B84" t="s">
        <v>77</v>
      </c>
      <c r="E84" s="76">
        <f>E54*0.03*(240/365)/(100)</f>
        <v>0.1952876712328767</v>
      </c>
      <c r="F84" s="76">
        <f>E54*0.3*(240/365)/(100)</f>
        <v>1.9528767123287671</v>
      </c>
      <c r="G84" s="123"/>
      <c r="H84" s="111"/>
      <c r="I84" s="111"/>
      <c r="J84" s="111"/>
      <c r="K84" s="111"/>
      <c r="L84" s="111"/>
      <c r="M84" s="112"/>
      <c r="N84" s="112"/>
      <c r="O84" s="111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ht="12.75">
      <c r="A85" t="s">
        <v>90</v>
      </c>
      <c r="B85" t="s">
        <v>78</v>
      </c>
      <c r="E85" s="77">
        <f>E48*(240/365)</f>
        <v>0.0008556493150684933</v>
      </c>
      <c r="F85" s="77">
        <f>E48*(240/365)</f>
        <v>0.0008556493150684933</v>
      </c>
      <c r="G85" s="123"/>
      <c r="H85" s="111"/>
      <c r="I85" s="111"/>
      <c r="J85" s="111"/>
      <c r="K85" s="111"/>
      <c r="L85" s="111"/>
      <c r="M85" s="112"/>
      <c r="N85" s="112"/>
      <c r="O85" s="111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1:68" ht="12.75">
      <c r="A86" s="70" t="s">
        <v>90</v>
      </c>
      <c r="B86" s="70" t="s">
        <v>79</v>
      </c>
      <c r="C86" s="70"/>
      <c r="D86" s="70"/>
      <c r="E86" s="71">
        <f>SUM(E83:E85)</f>
        <v>0.22241236987218221</v>
      </c>
      <c r="F86" s="71">
        <f>SUM(F83:F85)</f>
        <v>1.9800014109680726</v>
      </c>
      <c r="G86" s="121"/>
      <c r="H86" s="107"/>
      <c r="I86" s="107"/>
      <c r="J86" s="107"/>
      <c r="K86" s="107"/>
      <c r="L86" s="107"/>
      <c r="M86" s="108"/>
      <c r="N86" s="108"/>
      <c r="O86" s="107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</row>
    <row r="87" spans="1:68" ht="12.75">
      <c r="A87" s="72" t="s">
        <v>58</v>
      </c>
      <c r="B87" s="72" t="s">
        <v>79</v>
      </c>
      <c r="C87" s="72"/>
      <c r="D87" s="72"/>
      <c r="E87" s="73">
        <f>E86/70</f>
        <v>0.003177319569602603</v>
      </c>
      <c r="F87" s="73">
        <f>F86/70</f>
        <v>0.028285734442401036</v>
      </c>
      <c r="G87" s="122"/>
      <c r="H87" s="109"/>
      <c r="I87" s="109"/>
      <c r="J87" s="109"/>
      <c r="K87" s="109"/>
      <c r="L87" s="109"/>
      <c r="M87" s="110"/>
      <c r="N87" s="110"/>
      <c r="O87" s="109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5:68" ht="13.5" thickBot="1">
      <c r="E88" s="19"/>
      <c r="F88" s="19"/>
      <c r="G88" s="20"/>
      <c r="H88" s="93"/>
      <c r="I88" s="93"/>
      <c r="J88" s="93"/>
      <c r="K88" s="93"/>
      <c r="L88" s="93"/>
      <c r="M88" s="103"/>
      <c r="N88" s="103"/>
      <c r="O88" s="9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ht="12.75">
      <c r="A89" s="78" t="s">
        <v>90</v>
      </c>
      <c r="B89" s="158" t="s">
        <v>47</v>
      </c>
      <c r="C89" s="157"/>
      <c r="D89" s="157"/>
      <c r="E89" s="82">
        <f>E80+E86</f>
        <v>1.1307367253263585</v>
      </c>
      <c r="F89" s="82">
        <f>F80+F86</f>
        <v>2.888325766422249</v>
      </c>
      <c r="G89" s="124"/>
      <c r="H89" s="113"/>
      <c r="I89" s="113"/>
      <c r="J89" s="113"/>
      <c r="K89" s="113"/>
      <c r="L89" s="113"/>
      <c r="M89" s="114"/>
      <c r="N89" s="114"/>
      <c r="O89" s="11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</row>
    <row r="90" spans="1:68" ht="12.75">
      <c r="A90" s="79" t="s">
        <v>58</v>
      </c>
      <c r="B90" s="80"/>
      <c r="C90" s="51"/>
      <c r="D90" s="51"/>
      <c r="E90" s="83">
        <f>E89/70</f>
        <v>0.01615338179037655</v>
      </c>
      <c r="F90" s="83">
        <f>F89/70</f>
        <v>0.041261796663174984</v>
      </c>
      <c r="G90" s="83"/>
      <c r="H90" s="83"/>
      <c r="I90" s="83"/>
      <c r="J90" s="83"/>
      <c r="K90" s="83"/>
      <c r="L90" s="83"/>
      <c r="M90" s="104"/>
      <c r="N90" s="104"/>
      <c r="O90" s="83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2:68" ht="13.5" thickBot="1">
      <c r="B91" s="54"/>
      <c r="C91" s="56" t="s">
        <v>59</v>
      </c>
      <c r="D91" s="55"/>
      <c r="E91" s="57">
        <f>4.075/E90</f>
        <v>252.26915656928878</v>
      </c>
      <c r="F91" s="57">
        <f>4.075/F90</f>
        <v>98.75963553561945</v>
      </c>
      <c r="G91" s="119"/>
      <c r="H91" s="101"/>
      <c r="I91" s="101"/>
      <c r="J91" s="101"/>
      <c r="K91" s="101"/>
      <c r="L91" s="101"/>
      <c r="M91" s="102"/>
      <c r="N91" s="102"/>
      <c r="O91" s="101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5:68" ht="12.75">
      <c r="E92" s="136">
        <f>E90/0.04075</f>
        <v>0.3964020071258049</v>
      </c>
      <c r="F92" s="9">
        <f>F90/0.04075</f>
        <v>1.0125594273171774</v>
      </c>
      <c r="G92" s="10"/>
      <c r="H92" s="89"/>
      <c r="I92" s="89"/>
      <c r="J92" s="89"/>
      <c r="K92" s="89"/>
      <c r="L92" s="89"/>
      <c r="M92" s="90"/>
      <c r="N92" s="90"/>
      <c r="O92" s="89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</row>
    <row r="93" spans="6:68" ht="12.75">
      <c r="F93" s="89"/>
      <c r="G93" s="4"/>
      <c r="H93" s="89"/>
      <c r="I93" s="89"/>
      <c r="J93" s="89"/>
      <c r="K93" s="89"/>
      <c r="L93" s="89"/>
      <c r="M93" s="90"/>
      <c r="N93" s="90"/>
      <c r="O93" s="89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</row>
    <row r="94" spans="5:68" ht="12.75">
      <c r="E94" s="4" t="s">
        <v>93</v>
      </c>
      <c r="F94" s="89" t="s">
        <v>92</v>
      </c>
      <c r="G94" s="4"/>
      <c r="H94" s="89"/>
      <c r="I94" s="89"/>
      <c r="J94" s="89"/>
      <c r="K94" s="89"/>
      <c r="L94" s="89"/>
      <c r="M94" s="90"/>
      <c r="N94" s="90"/>
      <c r="O94" s="89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</row>
    <row r="95" spans="6:68" ht="12.75">
      <c r="F95" s="89"/>
      <c r="G95" s="4"/>
      <c r="H95" s="89"/>
      <c r="I95" s="89"/>
      <c r="J95" s="89"/>
      <c r="K95" s="89"/>
      <c r="L95" s="89"/>
      <c r="M95" s="90"/>
      <c r="N95" s="90"/>
      <c r="O95" s="89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</row>
    <row r="96" spans="6:68" ht="12.75">
      <c r="F96" s="89"/>
      <c r="G96" s="4"/>
      <c r="H96" s="89"/>
      <c r="I96" s="89"/>
      <c r="J96" s="89"/>
      <c r="K96" s="89"/>
      <c r="L96" s="89"/>
      <c r="M96" s="90"/>
      <c r="N96" s="90"/>
      <c r="O96" s="89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</row>
    <row r="97" spans="6:68" ht="12.75">
      <c r="F97" s="89"/>
      <c r="G97" s="4"/>
      <c r="H97" s="89"/>
      <c r="I97" s="89"/>
      <c r="J97" s="89"/>
      <c r="K97" s="89"/>
      <c r="L97" s="89"/>
      <c r="M97" s="90"/>
      <c r="N97" s="90"/>
      <c r="O97" s="89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</row>
    <row r="98" spans="6:68" ht="12.75">
      <c r="F98" s="89"/>
      <c r="G98" s="4"/>
      <c r="H98" s="89"/>
      <c r="I98" s="89"/>
      <c r="J98" s="89"/>
      <c r="K98" s="89"/>
      <c r="L98" s="89"/>
      <c r="M98" s="90"/>
      <c r="N98" s="90"/>
      <c r="O98" s="89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</row>
    <row r="99" spans="6:68" ht="12.75">
      <c r="F99" s="89"/>
      <c r="G99" s="89"/>
      <c r="H99" s="89"/>
      <c r="I99" s="89"/>
      <c r="J99" s="89"/>
      <c r="K99" s="89"/>
      <c r="L99" s="89"/>
      <c r="M99" s="90"/>
      <c r="N99" s="90"/>
      <c r="O99" s="89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</row>
    <row r="100" spans="6:68" ht="12.75">
      <c r="F100" s="89"/>
      <c r="G100" s="89"/>
      <c r="H100" s="89"/>
      <c r="I100" s="89"/>
      <c r="J100" s="89"/>
      <c r="K100" s="89"/>
      <c r="L100" s="89"/>
      <c r="M100" s="90"/>
      <c r="N100" s="90"/>
      <c r="O100" s="89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</row>
    <row r="101" spans="6:68" ht="12.75">
      <c r="F101" s="89"/>
      <c r="G101" s="89"/>
      <c r="H101" s="89"/>
      <c r="I101" s="89"/>
      <c r="J101" s="89"/>
      <c r="K101" s="89"/>
      <c r="L101" s="89"/>
      <c r="M101" s="90"/>
      <c r="N101" s="90"/>
      <c r="O101" s="89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</row>
    <row r="102" spans="6:68" ht="12.75">
      <c r="F102" s="89"/>
      <c r="G102" s="89"/>
      <c r="H102" s="89"/>
      <c r="I102" s="89"/>
      <c r="J102" s="89"/>
      <c r="K102" s="89"/>
      <c r="L102" s="89"/>
      <c r="M102" s="90"/>
      <c r="N102" s="90"/>
      <c r="O102" s="89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</row>
    <row r="103" spans="6:68" ht="12.75">
      <c r="F103" s="89"/>
      <c r="G103" s="89"/>
      <c r="H103" s="89"/>
      <c r="I103" s="89"/>
      <c r="J103" s="89"/>
      <c r="K103" s="89"/>
      <c r="L103" s="89"/>
      <c r="M103" s="90"/>
      <c r="N103" s="90"/>
      <c r="O103" s="89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</row>
    <row r="104" spans="6:68" ht="12.75">
      <c r="F104" s="89"/>
      <c r="G104" s="89"/>
      <c r="H104" s="89"/>
      <c r="I104" s="89"/>
      <c r="J104" s="89"/>
      <c r="K104" s="89"/>
      <c r="L104" s="89"/>
      <c r="M104" s="90"/>
      <c r="N104" s="90"/>
      <c r="O104" s="89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</row>
    <row r="105" spans="6:68" ht="12.75">
      <c r="F105" s="89"/>
      <c r="G105" s="89"/>
      <c r="H105" s="89"/>
      <c r="I105" s="89"/>
      <c r="J105" s="89"/>
      <c r="K105" s="89"/>
      <c r="L105" s="89"/>
      <c r="M105" s="90"/>
      <c r="N105" s="90"/>
      <c r="O105" s="89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</row>
    <row r="106" spans="6:68" ht="12.75">
      <c r="F106" s="89"/>
      <c r="G106" s="89"/>
      <c r="H106" s="89"/>
      <c r="I106" s="89"/>
      <c r="J106" s="89"/>
      <c r="K106" s="89"/>
      <c r="L106" s="89"/>
      <c r="M106" s="90"/>
      <c r="N106" s="90"/>
      <c r="O106" s="89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</row>
    <row r="107" spans="6:68" ht="12.75">
      <c r="F107" s="89"/>
      <c r="G107" s="89"/>
      <c r="H107" s="89"/>
      <c r="I107" s="89"/>
      <c r="J107" s="89"/>
      <c r="K107" s="89"/>
      <c r="L107" s="89"/>
      <c r="M107" s="90"/>
      <c r="N107" s="90"/>
      <c r="O107" s="89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6:68" ht="12.75">
      <c r="F108" s="89"/>
      <c r="G108" s="89"/>
      <c r="H108" s="89"/>
      <c r="I108" s="89"/>
      <c r="J108" s="89"/>
      <c r="K108" s="89"/>
      <c r="L108" s="89"/>
      <c r="M108" s="90"/>
      <c r="N108" s="90"/>
      <c r="O108" s="89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</row>
    <row r="109" spans="6:68" ht="12.75">
      <c r="F109" s="89"/>
      <c r="G109" s="89"/>
      <c r="H109" s="89"/>
      <c r="I109" s="89"/>
      <c r="J109" s="89"/>
      <c r="K109" s="89"/>
      <c r="L109" s="89"/>
      <c r="M109" s="90"/>
      <c r="N109" s="90"/>
      <c r="O109" s="89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6:68" ht="12.75">
      <c r="F110" s="89"/>
      <c r="G110" s="89"/>
      <c r="H110" s="89"/>
      <c r="I110" s="89"/>
      <c r="J110" s="89"/>
      <c r="K110" s="89"/>
      <c r="L110" s="89"/>
      <c r="M110" s="90"/>
      <c r="N110" s="90"/>
      <c r="O110" s="89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6:68" ht="12.75">
      <c r="F111" s="89"/>
      <c r="G111" s="89"/>
      <c r="H111" s="89"/>
      <c r="I111" s="89"/>
      <c r="J111" s="89"/>
      <c r="K111" s="89"/>
      <c r="L111" s="89"/>
      <c r="M111" s="90"/>
      <c r="N111" s="90"/>
      <c r="O111" s="89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6:68" ht="12.75">
      <c r="F112" s="89"/>
      <c r="G112" s="89"/>
      <c r="H112" s="89"/>
      <c r="I112" s="89"/>
      <c r="J112" s="89"/>
      <c r="K112" s="89"/>
      <c r="L112" s="89"/>
      <c r="M112" s="90"/>
      <c r="N112" s="90"/>
      <c r="O112" s="89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6:68" ht="12.75">
      <c r="F113" s="89"/>
      <c r="G113" s="89"/>
      <c r="H113" s="89"/>
      <c r="I113" s="89"/>
      <c r="J113" s="89"/>
      <c r="K113" s="89"/>
      <c r="L113" s="89"/>
      <c r="M113" s="90"/>
      <c r="N113" s="90"/>
      <c r="O113" s="89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6:68" ht="12.75">
      <c r="F114" s="89"/>
      <c r="G114" s="89"/>
      <c r="H114" s="89"/>
      <c r="I114" s="89"/>
      <c r="J114" s="89"/>
      <c r="K114" s="89"/>
      <c r="L114" s="89"/>
      <c r="M114" s="90"/>
      <c r="N114" s="90"/>
      <c r="O114" s="89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6:68" ht="12.75">
      <c r="F115" s="89"/>
      <c r="G115" s="89"/>
      <c r="H115" s="89"/>
      <c r="I115" s="89"/>
      <c r="J115" s="89"/>
      <c r="K115" s="89"/>
      <c r="L115" s="89"/>
      <c r="M115" s="90"/>
      <c r="N115" s="90"/>
      <c r="O115" s="89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6:68" ht="12.75">
      <c r="F116" s="89"/>
      <c r="G116" s="89"/>
      <c r="H116" s="89"/>
      <c r="I116" s="89"/>
      <c r="J116" s="89"/>
      <c r="K116" s="89"/>
      <c r="L116" s="89"/>
      <c r="M116" s="90"/>
      <c r="N116" s="90"/>
      <c r="O116" s="89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6:68" ht="12.75">
      <c r="F117" s="89"/>
      <c r="G117" s="89"/>
      <c r="H117" s="89"/>
      <c r="I117" s="89"/>
      <c r="J117" s="89"/>
      <c r="K117" s="89"/>
      <c r="L117" s="89"/>
      <c r="M117" s="90"/>
      <c r="N117" s="90"/>
      <c r="O117" s="89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6:68" ht="12.75">
      <c r="F118" s="89"/>
      <c r="G118" s="89"/>
      <c r="H118" s="89"/>
      <c r="I118" s="89"/>
      <c r="J118" s="89"/>
      <c r="K118" s="89"/>
      <c r="L118" s="89"/>
      <c r="M118" s="90"/>
      <c r="N118" s="90"/>
      <c r="O118" s="89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</row>
    <row r="119" spans="6:68" ht="12.75">
      <c r="F119" s="89"/>
      <c r="G119" s="89"/>
      <c r="H119" s="89"/>
      <c r="I119" s="89"/>
      <c r="J119" s="89"/>
      <c r="K119" s="89"/>
      <c r="L119" s="89"/>
      <c r="M119" s="90"/>
      <c r="N119" s="90"/>
      <c r="O119" s="89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</row>
    <row r="120" spans="6:68" ht="12.75">
      <c r="F120" s="89"/>
      <c r="G120" s="89"/>
      <c r="H120" s="89"/>
      <c r="I120" s="89"/>
      <c r="J120" s="89"/>
      <c r="K120" s="89"/>
      <c r="L120" s="89"/>
      <c r="M120" s="90"/>
      <c r="N120" s="90"/>
      <c r="O120" s="89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</row>
    <row r="121" spans="6:68" ht="12.75">
      <c r="F121" s="89"/>
      <c r="G121" s="89"/>
      <c r="H121" s="89"/>
      <c r="I121" s="89"/>
      <c r="J121" s="89"/>
      <c r="K121" s="89"/>
      <c r="L121" s="89"/>
      <c r="M121" s="90"/>
      <c r="N121" s="90"/>
      <c r="O121" s="89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</row>
  </sheetData>
  <sheetProtection/>
  <mergeCells count="7">
    <mergeCell ref="AM3:AN3"/>
    <mergeCell ref="B59:D59"/>
    <mergeCell ref="B89:D89"/>
    <mergeCell ref="AA2:AB2"/>
    <mergeCell ref="AC2:AD2"/>
    <mergeCell ref="AE2:AF2"/>
    <mergeCell ref="AH2:AI2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lieve.claeys</dc:creator>
  <cp:keywords/>
  <dc:description/>
  <cp:lastModifiedBy>Frederik Verdonck</cp:lastModifiedBy>
  <dcterms:created xsi:type="dcterms:W3CDTF">2010-08-17T14:44:35Z</dcterms:created>
  <dcterms:modified xsi:type="dcterms:W3CDTF">2015-09-09T07:41:51Z</dcterms:modified>
  <cp:category/>
  <cp:version/>
  <cp:contentType/>
  <cp:contentStatus/>
</cp:coreProperties>
</file>